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Tamara Dil\Desktop\"/>
    </mc:Choice>
  </mc:AlternateContent>
  <xr:revisionPtr revIDLastSave="0" documentId="13_ncr:1_{8D7DD6DE-84C9-4B0A-9859-4B6789EA565C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Komparativna matrica #4" sheetId="4" r:id="rId1"/>
    <sheet name="Pretpostavke za DNT" sheetId="2" r:id="rId2"/>
    <sheet name="SADAŠNJA VREDNOST DNT" sheetId="3" r:id="rId3"/>
    <sheet name="model DK" sheetId="6" r:id="rId4"/>
    <sheet name="Bitni elementi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6" l="1"/>
  <c r="H7" i="6"/>
  <c r="E10" i="6"/>
  <c r="F5" i="6"/>
  <c r="G5" i="6" s="1"/>
  <c r="H5" i="6" s="1"/>
  <c r="E1" i="6"/>
  <c r="H9" i="6" l="1"/>
  <c r="I5" i="6" s="1"/>
  <c r="I10" i="6" s="1"/>
  <c r="I12" i="6" l="1"/>
  <c r="C13" i="3" l="1"/>
  <c r="C21" i="3"/>
  <c r="D21" i="3" s="1"/>
  <c r="E21" i="3" s="1"/>
  <c r="F21" i="3" s="1"/>
  <c r="G21" i="3" s="1"/>
  <c r="C15" i="3"/>
  <c r="D7" i="3"/>
  <c r="E7" i="3"/>
  <c r="F7" i="3"/>
  <c r="F16" i="3" s="1"/>
  <c r="G7" i="3"/>
  <c r="C7" i="3"/>
  <c r="C16" i="3" s="1"/>
  <c r="D10" i="3"/>
  <c r="E10" i="3"/>
  <c r="F10" i="3"/>
  <c r="G10" i="3"/>
  <c r="C10" i="3"/>
  <c r="B9" i="2"/>
  <c r="B5" i="2"/>
  <c r="E16" i="3" l="1"/>
  <c r="G16" i="3"/>
  <c r="D16" i="3"/>
  <c r="E19" i="4" l="1"/>
  <c r="F19" i="4" s="1"/>
  <c r="G19" i="4" s="1"/>
  <c r="H19" i="4" s="1"/>
  <c r="H17" i="4"/>
  <c r="H18" i="4" s="1"/>
  <c r="G17" i="4"/>
  <c r="G18" i="4" s="1"/>
  <c r="F17" i="4"/>
  <c r="F18" i="4" s="1"/>
  <c r="E17" i="4"/>
  <c r="E18" i="4" s="1"/>
  <c r="H10" i="4"/>
  <c r="G10" i="4"/>
  <c r="F10" i="4"/>
  <c r="E10" i="4"/>
  <c r="E21" i="4" l="1"/>
  <c r="E20" i="4"/>
  <c r="B8" i="2" s="1"/>
  <c r="C9" i="3" s="1"/>
  <c r="D9" i="3" s="1"/>
  <c r="D8" i="3"/>
  <c r="D6" i="3" s="1"/>
  <c r="E8" i="3"/>
  <c r="E6" i="3" s="1"/>
  <c r="F8" i="3"/>
  <c r="F6" i="3" s="1"/>
  <c r="G8" i="3"/>
  <c r="G6" i="3" s="1"/>
  <c r="C8" i="3"/>
  <c r="C6" i="3" s="1"/>
  <c r="C11" i="3" l="1"/>
  <c r="D11" i="3"/>
  <c r="C8" i="2"/>
  <c r="C14" i="3" l="1"/>
  <c r="C18" i="3"/>
  <c r="D13" i="3"/>
  <c r="D14" i="3" s="1"/>
  <c r="D18" i="3" s="1"/>
  <c r="E9" i="3"/>
  <c r="F9" i="3" l="1"/>
  <c r="E11" i="3"/>
  <c r="C20" i="3"/>
  <c r="D20" i="3"/>
  <c r="D22" i="3" s="1"/>
  <c r="E13" i="3" l="1"/>
  <c r="E14" i="3" s="1"/>
  <c r="E18" i="3" s="1"/>
  <c r="C22" i="3"/>
  <c r="G9" i="3"/>
  <c r="G11" i="3" s="1"/>
  <c r="F11" i="3"/>
  <c r="F13" i="3" l="1"/>
  <c r="F14" i="3" s="1"/>
  <c r="F18" i="3" s="1"/>
  <c r="F20" i="3" s="1"/>
  <c r="F22" i="3" s="1"/>
  <c r="G13" i="3"/>
  <c r="G14" i="3" s="1"/>
  <c r="G18" i="3"/>
  <c r="E20" i="3"/>
  <c r="E22" i="3" l="1"/>
  <c r="G19" i="3"/>
  <c r="G20" i="3" s="1"/>
  <c r="G22" i="3" s="1"/>
  <c r="I24" i="3" l="1"/>
  <c r="C24" i="3"/>
</calcChain>
</file>

<file path=xl/sharedStrings.xml><?xml version="1.0" encoding="utf-8"?>
<sst xmlns="http://schemas.openxmlformats.org/spreadsheetml/2006/main" count="156" uniqueCount="137">
  <si>
    <t>Godina</t>
  </si>
  <si>
    <t>I</t>
  </si>
  <si>
    <t>II</t>
  </si>
  <si>
    <t>III</t>
  </si>
  <si>
    <t>IV</t>
  </si>
  <si>
    <t>V</t>
  </si>
  <si>
    <t>Opis</t>
  </si>
  <si>
    <t>Površina poslovnog prostora m2</t>
  </si>
  <si>
    <t>Vrednost</t>
  </si>
  <si>
    <t>Diskontna stopa</t>
  </si>
  <si>
    <t>Očekivana površina za izdavanje m2</t>
  </si>
  <si>
    <t>Očekivana cena rente</t>
  </si>
  <si>
    <t>Planirani prihod ukupno</t>
  </si>
  <si>
    <t xml:space="preserve"> - planirani rast rente</t>
  </si>
  <si>
    <t xml:space="preserve">Ukupno troškovi </t>
  </si>
  <si>
    <t>Gotovinski tok</t>
  </si>
  <si>
    <t>Diskontni faktor</t>
  </si>
  <si>
    <t>Osnovne pretpostavke</t>
  </si>
  <si>
    <t>Obračun</t>
  </si>
  <si>
    <t>Izlazna stopa kapitalizacije</t>
  </si>
  <si>
    <t>Renoviranje i adaptacija u I godini</t>
  </si>
  <si>
    <t>provera</t>
  </si>
  <si>
    <t>Očekivana tržišna renta €/m2</t>
  </si>
  <si>
    <t>Troškovi renoviranja po m2</t>
  </si>
  <si>
    <t>Predmet procene</t>
  </si>
  <si>
    <t>Tip nepokretnosti:</t>
  </si>
  <si>
    <t>Poslovni prostor</t>
  </si>
  <si>
    <t>Lokacija</t>
  </si>
  <si>
    <t>Makenzijeva</t>
  </si>
  <si>
    <t>Lokacija:</t>
  </si>
  <si>
    <t>ul. Alekse Nenadovića 19-21, Vračar, Beograd</t>
  </si>
  <si>
    <t>Izvor</t>
  </si>
  <si>
    <t>oglas</t>
  </si>
  <si>
    <t>lična baza</t>
  </si>
  <si>
    <t>Spratnost stana:</t>
  </si>
  <si>
    <t>4 sprat</t>
  </si>
  <si>
    <t>Godina transakcije/oglasa</t>
  </si>
  <si>
    <t>sep 2018.</t>
  </si>
  <si>
    <t>okt 2018.</t>
  </si>
  <si>
    <t>Površina m2:</t>
  </si>
  <si>
    <t>Vrsta uporedive vrednosti</t>
  </si>
  <si>
    <t>tražena</t>
  </si>
  <si>
    <t>ostvarena</t>
  </si>
  <si>
    <t>Spratnost zgrade:</t>
  </si>
  <si>
    <t>Po+Pr+4+Pk</t>
  </si>
  <si>
    <t>Korisna površina (m2)</t>
  </si>
  <si>
    <t>Godina gradnje:</t>
  </si>
  <si>
    <t>n/a</t>
  </si>
  <si>
    <t>Tražena renta (€/m2)</t>
  </si>
  <si>
    <t>Godina renoviranja:</t>
  </si>
  <si>
    <t>Ukupno tražena renta (€)</t>
  </si>
  <si>
    <t>Opšte stanje:</t>
  </si>
  <si>
    <t>dobro</t>
  </si>
  <si>
    <t>Prilagođavanje odnosa tražena/ostvarena cena (%)</t>
  </si>
  <si>
    <t>Prilagođavanje usled veličine nepokretnosti (%)</t>
  </si>
  <si>
    <t>Komparativi</t>
  </si>
  <si>
    <t>Prilagođavanje usled kvaliteta (%)</t>
  </si>
  <si>
    <t>Komparativ 1:</t>
  </si>
  <si>
    <t xml:space="preserve">ul. Mkenzijeva, </t>
  </si>
  <si>
    <t>Prilagođavanje usled lokacije (%)</t>
  </si>
  <si>
    <t>Komparativ 2:</t>
  </si>
  <si>
    <t>Prilagođavanje usled spratnosti (%)</t>
  </si>
  <si>
    <t>Komparativ 3:</t>
  </si>
  <si>
    <t>Prilagođavanje _________________ (%)</t>
  </si>
  <si>
    <t>Komparativ 4:</t>
  </si>
  <si>
    <t>Ukupno prilagođavanje (%)</t>
  </si>
  <si>
    <t>Prilagođena prodajna cen (€/m2)</t>
  </si>
  <si>
    <t>Stopa uporedivosti (%)</t>
  </si>
  <si>
    <t>Prosečna prodajna cena (€m2)</t>
  </si>
  <si>
    <t>Odstupanje od proseka (stdev) (€)</t>
  </si>
  <si>
    <t>traženu cenu korigujemo za -5% (u oglasu se uvek daju veće cene nego što se dobiju)</t>
  </si>
  <si>
    <t>veličina - ako je stan veći dobija se manja cena po kvadratnom metru - za svakih 10 m2 + ili - 3% a max 10%</t>
  </si>
  <si>
    <t>kvalitet - max + ili min 15%</t>
  </si>
  <si>
    <t>lokacija - max + ili - 20%</t>
  </si>
  <si>
    <t xml:space="preserve">spratnost - </t>
  </si>
  <si>
    <t>Neto korisna površina za izdavanje m2</t>
  </si>
  <si>
    <t>odnos bruto/neto</t>
  </si>
  <si>
    <t>Add on faktor</t>
  </si>
  <si>
    <t>Fit out doprinos €</t>
  </si>
  <si>
    <t>Add on kvadrati</t>
  </si>
  <si>
    <t>Površina izdate korisne površine m2</t>
  </si>
  <si>
    <t>Očekivani procenat izdatog posl.prostora</t>
  </si>
  <si>
    <t>Očekivani troškovi na godišnjem nivou</t>
  </si>
  <si>
    <t>Investicija (renoviranje) ukupno €</t>
  </si>
  <si>
    <t>Fit out</t>
  </si>
  <si>
    <t>Buduća vrednost gotovinskog toka</t>
  </si>
  <si>
    <t>Rezidualna/terminalna vrednost</t>
  </si>
  <si>
    <t>Diskontovana vrednost gotovinskog toka</t>
  </si>
  <si>
    <t>Procenjena tržišna vrednost €</t>
  </si>
  <si>
    <t>Očekivani rast prihoda/troškova na godišnjem nivou</t>
  </si>
  <si>
    <t>y=</t>
  </si>
  <si>
    <t>Br.</t>
  </si>
  <si>
    <t>kat.parc</t>
  </si>
  <si>
    <t xml:space="preserve"> objekat</t>
  </si>
  <si>
    <t>Jed. mere</t>
  </si>
  <si>
    <t>Po jed. mere €/m2/mes</t>
  </si>
  <si>
    <t>Ukupno (€/mes)</t>
  </si>
  <si>
    <t>Bruto prihod (€/god)</t>
  </si>
  <si>
    <t>Neto operativni prihod</t>
  </si>
  <si>
    <t>1</t>
  </si>
  <si>
    <t>Troškovi</t>
  </si>
  <si>
    <t>očekivani godišnji troškovi (3%)</t>
  </si>
  <si>
    <t>očekivani porez na imovinu (0,4%)</t>
  </si>
  <si>
    <t>ukupno troškovi</t>
  </si>
  <si>
    <t>Procenjena tržišna vrednost</t>
  </si>
  <si>
    <t>vrednost po M2</t>
  </si>
  <si>
    <t>stopa</t>
  </si>
  <si>
    <t>osnovica</t>
  </si>
  <si>
    <t>očekivani godišnji troškovi</t>
  </si>
  <si>
    <t>očekivani porez na imovinu</t>
  </si>
  <si>
    <t>2937 €/m2x396m2=   1.163.093 €</t>
  </si>
  <si>
    <t>Vrste troškova</t>
  </si>
  <si>
    <t>Poslovni prostor za koji nije utvrđena delatnost</t>
  </si>
  <si>
    <t>Metod - direktna kapitalizacija</t>
  </si>
  <si>
    <t>Yp - yield perpetuity</t>
  </si>
  <si>
    <t>neto operativni prihod</t>
  </si>
  <si>
    <t>=</t>
  </si>
  <si>
    <t>tržišna vrednost nepokretnosti</t>
  </si>
  <si>
    <t>Metod - diskontovanja novčanih tokova</t>
  </si>
  <si>
    <t>F (fakor kapitalizacije)=</t>
  </si>
  <si>
    <r>
      <t>Površina (m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</si>
  <si>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m</t>
    </r>
    <r>
      <rPr>
        <vertAlign val="superscript"/>
        <sz val="10"/>
        <rFont val="Calibri"/>
        <family val="2"/>
        <scheme val="minor"/>
      </rPr>
      <t>2</t>
    </r>
  </si>
  <si>
    <t>faktor kapitalizacije</t>
  </si>
  <si>
    <t>1/Yp</t>
  </si>
  <si>
    <t>Izlazna stopa kapitalizacije - rezidualna stopa - exit rate</t>
  </si>
  <si>
    <t>Koncept vremenske vrednosti novca</t>
  </si>
  <si>
    <t>FV</t>
  </si>
  <si>
    <t>Buduća vrednosti</t>
  </si>
  <si>
    <t>Faktor sadašnje vrednosti - diskontni faktor</t>
  </si>
  <si>
    <t>sadašnja vrednost</t>
  </si>
  <si>
    <r>
      <t>sadašnja vrednost x (1 + diskontna stopa)</t>
    </r>
    <r>
      <rPr>
        <vertAlign val="superscript"/>
        <sz val="11"/>
        <color theme="1"/>
        <rFont val="Calibri"/>
        <family val="2"/>
        <scheme val="minor"/>
      </rPr>
      <t>n</t>
    </r>
  </si>
  <si>
    <r>
      <t>PV x (1 + r)</t>
    </r>
    <r>
      <rPr>
        <b/>
        <vertAlign val="superscript"/>
        <sz val="11"/>
        <rFont val="Calibri"/>
        <family val="2"/>
        <scheme val="minor"/>
      </rPr>
      <t>n</t>
    </r>
  </si>
  <si>
    <r>
      <t>1/(1 + diskontna stopa)</t>
    </r>
    <r>
      <rPr>
        <b/>
        <vertAlign val="superscript"/>
        <sz val="11"/>
        <color rgb="FFFF0000"/>
        <rFont val="Calibri"/>
        <family val="2"/>
        <scheme val="minor"/>
      </rPr>
      <t>n</t>
    </r>
  </si>
  <si>
    <r>
      <t>Buduća vrednost/(1 + diskontna stopa)</t>
    </r>
    <r>
      <rPr>
        <b/>
        <vertAlign val="superscript"/>
        <sz val="11"/>
        <color rgb="FFFF0000"/>
        <rFont val="Calibri"/>
        <family val="2"/>
        <scheme val="minor"/>
      </rPr>
      <t>n</t>
    </r>
  </si>
  <si>
    <t>Finansijske tablice</t>
  </si>
  <si>
    <t>http://www.etssd.edu.rs/dl_matematika/finansijske%20tablice%20do%2040.pdf</t>
  </si>
  <si>
    <t>Bitni elementi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</si>
</sst>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Din.&quot;;[Red]\-#,##0.00\ &quot;Din.&quot;"/>
    <numFmt numFmtId="165" formatCode="_-* #,##0.00\ [$€-1]_-;\-* #,##0.00\ [$€-1]_-;_-* &quot;-&quot;??\ [$€-1]_-;_-@_-"/>
    <numFmt numFmtId="166" formatCode="0.0%"/>
    <numFmt numFmtId="167" formatCode="#,##0.00_ ;[Red]\-#,##0.00\ "/>
    <numFmt numFmtId="168" formatCode="0.0000000"/>
    <numFmt numFmtId="169" formatCode="0.0"/>
    <numFmt numFmtId="170" formatCode="#,##0.00\ [$€-401]\ ;\-#,##0.00\ [$€-401]\ ;&quot; -&quot;#\ [$€-401]\ ;@\ "/>
    <numFmt numFmtId="171" formatCode="_(* #,##0_);_(* \(#,##0\);_(* &quot;-&quot;??_);_(@_)"/>
    <numFmt numFmtId="172" formatCode="#,##0.00\ [$€-401]\ ;\-#,##0.00\ [$€-401]\ ;&quot; -&quot;#.00\ [$€-401]\ ;@\ "/>
    <numFmt numFmtId="173" formatCode="#,##0\ [$€-803];\-#,##0\ [$€-803]"/>
    <numFmt numFmtId="175" formatCode="#,##0.00\ [$€-2C1A]"/>
    <numFmt numFmtId="176" formatCode="#,##0\ [$€-401]\ ;\-#,##0\ [$€-401]\ ;&quot; -&quot;#\ [$€-401]\ ;@\ "/>
    <numFmt numFmtId="177" formatCode="#,##0.00&quot;        &quot;;\-#,##0.00&quot;        &quot;;&quot; -&quot;#&quot;        &quot;;@\ "/>
    <numFmt numFmtId="180" formatCode="#,##0\ [$€-1];[Red]\-#,##0\ [$€-1]"/>
    <numFmt numFmtId="181" formatCode="#,##0.00\ [$€-1];[Red]\-#,##0.00\ [$€-1]"/>
    <numFmt numFmtId="188" formatCode="_-* #,##0.00\ [$€-2C1A]_-;\-* #,##0.00\ [$€-2C1A]_-;_-* &quot;-&quot;??\ [$€-2C1A]_-;_-@_-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9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1"/>
      <color rgb="FF7030A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9" fontId="2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8" applyNumberFormat="0" applyAlignment="0" applyProtection="0"/>
    <xf numFmtId="0" fontId="9" fillId="4" borderId="7" applyNumberFormat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6" fillId="0" borderId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169" fontId="0" fillId="0" borderId="0" xfId="0" applyNumberFormat="1"/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8" fillId="4" borderId="8" xfId="4" applyAlignment="1">
      <alignment horizontal="right" vertical="center"/>
    </xf>
    <xf numFmtId="0" fontId="8" fillId="4" borderId="8" xfId="4" applyAlignment="1">
      <alignment horizontal="center" vertical="center"/>
    </xf>
    <xf numFmtId="0" fontId="7" fillId="3" borderId="1" xfId="3" applyBorder="1" applyAlignment="1">
      <alignment horizontal="right" vertical="center"/>
    </xf>
    <xf numFmtId="0" fontId="6" fillId="2" borderId="1" xfId="2" applyBorder="1" applyAlignment="1">
      <alignment horizontal="left" vertical="center"/>
    </xf>
    <xf numFmtId="0" fontId="10" fillId="7" borderId="1" xfId="7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2" borderId="1" xfId="2" applyFont="1" applyBorder="1" applyAlignment="1">
      <alignment horizontal="left" vertical="center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3" fontId="9" fillId="4" borderId="1" xfId="5" applyNumberFormat="1" applyBorder="1" applyAlignment="1">
      <alignment horizontal="center" vertical="center"/>
    </xf>
    <xf numFmtId="3" fontId="9" fillId="4" borderId="2" xfId="5" applyNumberFormat="1" applyBorder="1" applyAlignment="1">
      <alignment horizontal="center" vertical="center"/>
    </xf>
    <xf numFmtId="9" fontId="0" fillId="5" borderId="1" xfId="1" applyFont="1" applyFill="1" applyBorder="1" applyAlignment="1">
      <alignment horizontal="center" vertical="center"/>
    </xf>
    <xf numFmtId="9" fontId="0" fillId="5" borderId="2" xfId="1" applyFont="1" applyFill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9" fontId="9" fillId="4" borderId="7" xfId="5" applyNumberFormat="1" applyAlignment="1">
      <alignment horizontal="center" vertical="center"/>
    </xf>
    <xf numFmtId="9" fontId="9" fillId="4" borderId="13" xfId="5" applyNumberFormat="1" applyBorder="1" applyAlignment="1">
      <alignment horizontal="center" vertical="center"/>
    </xf>
    <xf numFmtId="9" fontId="9" fillId="4" borderId="1" xfId="5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10" fillId="7" borderId="6" xfId="7" applyFont="1" applyBorder="1" applyAlignment="1">
      <alignment horizontal="right" vertical="center"/>
    </xf>
    <xf numFmtId="9" fontId="0" fillId="0" borderId="6" xfId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0" fontId="10" fillId="7" borderId="14" xfId="7" applyFont="1" applyBorder="1" applyAlignment="1">
      <alignment horizontal="right" vertical="center"/>
    </xf>
    <xf numFmtId="0" fontId="10" fillId="7" borderId="5" xfId="7" applyFont="1" applyBorder="1" applyAlignment="1">
      <alignment horizontal="right" vertical="center"/>
    </xf>
    <xf numFmtId="9" fontId="0" fillId="0" borderId="0" xfId="1" applyFont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9" fontId="0" fillId="0" borderId="1" xfId="1" applyNumberFormat="1" applyFont="1" applyFill="1" applyBorder="1" applyAlignment="1">
      <alignment horizontal="center" vertical="center"/>
    </xf>
    <xf numFmtId="3" fontId="0" fillId="0" borderId="1" xfId="1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3" fontId="5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167" fontId="0" fillId="0" borderId="0" xfId="0" applyNumberFormat="1" applyFont="1" applyFill="1" applyBorder="1"/>
    <xf numFmtId="0" fontId="0" fillId="0" borderId="0" xfId="0" applyFont="1" applyFill="1"/>
    <xf numFmtId="164" fontId="0" fillId="0" borderId="0" xfId="0" applyNumberFormat="1"/>
    <xf numFmtId="0" fontId="0" fillId="0" borderId="3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9" fontId="0" fillId="0" borderId="6" xfId="1" applyNumberFormat="1" applyFont="1" applyFill="1" applyBorder="1" applyAlignment="1">
      <alignment horizontal="center" vertical="center"/>
    </xf>
    <xf numFmtId="3" fontId="0" fillId="0" borderId="6" xfId="1" applyNumberFormat="1" applyFont="1" applyFill="1" applyBorder="1" applyAlignment="1">
      <alignment horizontal="center" vertical="center"/>
    </xf>
    <xf numFmtId="4" fontId="0" fillId="0" borderId="6" xfId="1" applyNumberFormat="1" applyFont="1" applyFill="1" applyBorder="1" applyAlignment="1">
      <alignment horizontal="center" vertical="center"/>
    </xf>
    <xf numFmtId="9" fontId="0" fillId="0" borderId="6" xfId="1" applyFont="1" applyFill="1" applyBorder="1" applyAlignment="1">
      <alignment horizontal="center" vertical="center"/>
    </xf>
    <xf numFmtId="166" fontId="0" fillId="0" borderId="6" xfId="1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166" fontId="0" fillId="0" borderId="1" xfId="1" applyNumberFormat="1" applyFont="1" applyFill="1" applyBorder="1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5" fillId="8" borderId="1" xfId="0" applyFont="1" applyFill="1" applyBorder="1"/>
    <xf numFmtId="3" fontId="5" fillId="8" borderId="1" xfId="0" applyNumberFormat="1" applyFont="1" applyFill="1" applyBorder="1"/>
    <xf numFmtId="0" fontId="3" fillId="8" borderId="3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/>
    </xf>
    <xf numFmtId="0" fontId="8" fillId="4" borderId="8" xfId="4" applyAlignment="1">
      <alignment horizontal="center" vertical="center"/>
    </xf>
    <xf numFmtId="0" fontId="8" fillId="4" borderId="9" xfId="4" applyBorder="1" applyAlignment="1">
      <alignment horizontal="center" vertical="center"/>
    </xf>
    <xf numFmtId="0" fontId="8" fillId="4" borderId="10" xfId="4" applyBorder="1" applyAlignment="1">
      <alignment horizontal="center" vertical="center"/>
    </xf>
    <xf numFmtId="4" fontId="10" fillId="6" borderId="15" xfId="6" applyNumberFormat="1" applyFont="1" applyBorder="1" applyAlignment="1">
      <alignment horizontal="center" vertical="center"/>
    </xf>
    <xf numFmtId="4" fontId="10" fillId="6" borderId="16" xfId="6" applyNumberFormat="1" applyFont="1" applyBorder="1" applyAlignment="1">
      <alignment horizontal="center" vertical="center"/>
    </xf>
    <xf numFmtId="4" fontId="10" fillId="6" borderId="17" xfId="6" applyNumberFormat="1" applyFont="1" applyBorder="1" applyAlignment="1">
      <alignment horizontal="center" vertical="center"/>
    </xf>
    <xf numFmtId="4" fontId="10" fillId="6" borderId="18" xfId="6" applyNumberFormat="1" applyFont="1" applyBorder="1" applyAlignment="1">
      <alignment horizontal="center" vertical="center"/>
    </xf>
    <xf numFmtId="4" fontId="10" fillId="6" borderId="19" xfId="6" applyNumberFormat="1" applyFont="1" applyBorder="1" applyAlignment="1">
      <alignment horizontal="center" vertical="center"/>
    </xf>
    <xf numFmtId="4" fontId="10" fillId="6" borderId="12" xfId="6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10"/>
    <xf numFmtId="9" fontId="17" fillId="0" borderId="0" xfId="10" applyNumberFormat="1"/>
    <xf numFmtId="43" fontId="17" fillId="0" borderId="0" xfId="10" applyNumberFormat="1"/>
    <xf numFmtId="188" fontId="17" fillId="0" borderId="0" xfId="10" applyNumberFormat="1"/>
    <xf numFmtId="0" fontId="15" fillId="0" borderId="0" xfId="0" applyFont="1" applyAlignment="1">
      <alignment horizontal="left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19" fillId="0" borderId="20" xfId="10" applyFont="1" applyBorder="1" applyAlignment="1">
      <alignment horizontal="center" vertical="center"/>
    </xf>
    <xf numFmtId="0" fontId="20" fillId="0" borderId="20" xfId="10" applyFont="1" applyBorder="1" applyAlignment="1">
      <alignment horizontal="center" vertical="center"/>
    </xf>
    <xf numFmtId="0" fontId="21" fillId="9" borderId="0" xfId="8" applyFont="1" applyFill="1" applyAlignment="1">
      <alignment horizontal="center" vertical="center"/>
    </xf>
    <xf numFmtId="166" fontId="21" fillId="9" borderId="0" xfId="9" applyNumberFormat="1" applyFont="1" applyFill="1" applyBorder="1" applyAlignment="1" applyProtection="1">
      <alignment horizontal="center" vertical="center"/>
    </xf>
    <xf numFmtId="2" fontId="21" fillId="9" borderId="0" xfId="8" applyNumberFormat="1" applyFont="1" applyFill="1" applyAlignment="1">
      <alignment horizontal="center" vertical="center"/>
    </xf>
    <xf numFmtId="0" fontId="21" fillId="9" borderId="0" xfId="8" applyFont="1" applyFill="1" applyAlignment="1">
      <alignment horizontal="center" vertical="center"/>
    </xf>
    <xf numFmtId="0" fontId="21" fillId="9" borderId="21" xfId="8" applyFont="1" applyFill="1" applyBorder="1" applyAlignment="1">
      <alignment horizontal="center" vertical="center" wrapText="1"/>
    </xf>
    <xf numFmtId="0" fontId="21" fillId="9" borderId="21" xfId="8" applyFont="1" applyFill="1" applyBorder="1" applyAlignment="1">
      <alignment horizontal="center" vertical="center"/>
    </xf>
    <xf numFmtId="0" fontId="21" fillId="9" borderId="20" xfId="8" applyFont="1" applyFill="1" applyBorder="1" applyAlignment="1">
      <alignment horizontal="center" vertical="center" wrapText="1"/>
    </xf>
    <xf numFmtId="170" fontId="23" fillId="9" borderId="20" xfId="8" applyNumberFormat="1" applyFont="1" applyFill="1" applyBorder="1" applyAlignment="1">
      <alignment horizontal="center" vertical="center" wrapText="1"/>
    </xf>
    <xf numFmtId="1" fontId="21" fillId="9" borderId="20" xfId="11" applyNumberFormat="1" applyFont="1" applyFill="1" applyBorder="1" applyAlignment="1" applyProtection="1">
      <alignment horizontal="center" vertical="center"/>
    </xf>
    <xf numFmtId="172" fontId="21" fillId="9" borderId="20" xfId="12" applyNumberFormat="1" applyFont="1" applyFill="1" applyBorder="1" applyAlignment="1" applyProtection="1">
      <alignment horizontal="center" vertical="center" wrapText="1"/>
    </xf>
    <xf numFmtId="170" fontId="21" fillId="9" borderId="20" xfId="11" applyNumberFormat="1" applyFont="1" applyFill="1" applyBorder="1" applyAlignment="1" applyProtection="1">
      <alignment horizontal="center" vertical="center" wrapText="1"/>
    </xf>
    <xf numFmtId="173" fontId="20" fillId="0" borderId="20" xfId="10" applyNumberFormat="1" applyFont="1" applyBorder="1" applyAlignment="1">
      <alignment horizontal="center" vertical="center"/>
    </xf>
    <xf numFmtId="0" fontId="21" fillId="9" borderId="22" xfId="8" applyFont="1" applyFill="1" applyBorder="1" applyAlignment="1">
      <alignment horizontal="center" vertical="center" wrapText="1"/>
    </xf>
    <xf numFmtId="171" fontId="21" fillId="9" borderId="22" xfId="11" applyNumberFormat="1" applyFont="1" applyFill="1" applyBorder="1" applyAlignment="1" applyProtection="1">
      <alignment horizontal="center" vertical="center" wrapText="1"/>
    </xf>
    <xf numFmtId="170" fontId="21" fillId="9" borderId="21" xfId="12" applyNumberFormat="1" applyFont="1" applyFill="1" applyBorder="1" applyAlignment="1" applyProtection="1">
      <alignment horizontal="center" vertical="center" wrapText="1"/>
    </xf>
    <xf numFmtId="170" fontId="21" fillId="9" borderId="20" xfId="11" applyNumberFormat="1" applyFont="1" applyFill="1" applyBorder="1" applyAlignment="1" applyProtection="1">
      <alignment horizontal="center" vertical="center" wrapText="1"/>
    </xf>
    <xf numFmtId="0" fontId="20" fillId="0" borderId="20" xfId="10" applyFont="1" applyBorder="1" applyAlignment="1">
      <alignment horizontal="center"/>
    </xf>
    <xf numFmtId="170" fontId="21" fillId="9" borderId="22" xfId="12" applyNumberFormat="1" applyFont="1" applyFill="1" applyBorder="1" applyAlignment="1" applyProtection="1">
      <alignment horizontal="center" vertical="center" wrapText="1"/>
    </xf>
    <xf numFmtId="175" fontId="20" fillId="0" borderId="20" xfId="10" applyNumberFormat="1" applyFont="1" applyBorder="1" applyAlignment="1">
      <alignment horizontal="center" vertical="center"/>
    </xf>
    <xf numFmtId="0" fontId="21" fillId="9" borderId="23" xfId="8" applyFont="1" applyFill="1" applyBorder="1" applyAlignment="1">
      <alignment vertical="center" wrapText="1"/>
    </xf>
    <xf numFmtId="0" fontId="20" fillId="0" borderId="22" xfId="10" applyFont="1" applyBorder="1" applyAlignment="1">
      <alignment horizontal="center"/>
    </xf>
    <xf numFmtId="43" fontId="21" fillId="9" borderId="22" xfId="11" applyFont="1" applyFill="1" applyBorder="1" applyAlignment="1" applyProtection="1">
      <alignment horizontal="center" vertical="center" wrapText="1"/>
    </xf>
    <xf numFmtId="176" fontId="21" fillId="9" borderId="20" xfId="11" applyNumberFormat="1" applyFont="1" applyFill="1" applyBorder="1" applyAlignment="1" applyProtection="1">
      <alignment horizontal="center" vertical="center" wrapText="1"/>
    </xf>
    <xf numFmtId="0" fontId="23" fillId="9" borderId="20" xfId="8" applyFont="1" applyFill="1" applyBorder="1" applyAlignment="1">
      <alignment horizontal="center" vertical="center" wrapText="1"/>
    </xf>
    <xf numFmtId="0" fontId="21" fillId="9" borderId="20" xfId="8" applyFont="1" applyFill="1" applyBorder="1" applyAlignment="1">
      <alignment horizontal="center" vertical="center" wrapText="1"/>
    </xf>
    <xf numFmtId="1" fontId="21" fillId="9" borderId="23" xfId="11" applyNumberFormat="1" applyFont="1" applyFill="1" applyBorder="1" applyAlignment="1" applyProtection="1">
      <alignment horizontal="center" vertical="center" wrapText="1"/>
    </xf>
    <xf numFmtId="0" fontId="21" fillId="9" borderId="23" xfId="8" applyFont="1" applyFill="1" applyBorder="1" applyAlignment="1">
      <alignment horizontal="center" vertical="center" wrapText="1"/>
    </xf>
    <xf numFmtId="170" fontId="21" fillId="9" borderId="20" xfId="8" applyNumberFormat="1" applyFont="1" applyFill="1" applyBorder="1" applyAlignment="1">
      <alignment horizontal="center" vertical="center" wrapText="1"/>
    </xf>
    <xf numFmtId="176" fontId="21" fillId="9" borderId="20" xfId="8" applyNumberFormat="1" applyFont="1" applyFill="1" applyBorder="1" applyAlignment="1">
      <alignment horizontal="center" vertical="center" wrapText="1"/>
    </xf>
    <xf numFmtId="177" fontId="21" fillId="9" borderId="0" xfId="8" applyNumberFormat="1" applyFont="1" applyFill="1" applyAlignment="1">
      <alignment horizontal="center" vertical="center"/>
    </xf>
    <xf numFmtId="176" fontId="23" fillId="9" borderId="0" xfId="8" applyNumberFormat="1" applyFont="1" applyFill="1" applyAlignment="1">
      <alignment horizontal="center" vertical="center"/>
    </xf>
    <xf numFmtId="0" fontId="20" fillId="0" borderId="0" xfId="10" applyFont="1"/>
    <xf numFmtId="9" fontId="20" fillId="0" borderId="20" xfId="10" applyNumberFormat="1" applyFont="1" applyBorder="1" applyAlignment="1">
      <alignment horizontal="center" vertical="center"/>
    </xf>
    <xf numFmtId="170" fontId="20" fillId="0" borderId="20" xfId="10" applyNumberFormat="1" applyFont="1" applyBorder="1" applyAlignment="1">
      <alignment horizontal="center" vertical="center"/>
    </xf>
    <xf numFmtId="180" fontId="20" fillId="0" borderId="20" xfId="10" applyNumberFormat="1" applyFont="1" applyBorder="1" applyAlignment="1">
      <alignment horizontal="center" vertical="center"/>
    </xf>
    <xf numFmtId="166" fontId="20" fillId="0" borderId="20" xfId="10" applyNumberFormat="1" applyFont="1" applyBorder="1" applyAlignment="1">
      <alignment horizontal="center" vertical="center"/>
    </xf>
    <xf numFmtId="181" fontId="20" fillId="0" borderId="20" xfId="10" applyNumberFormat="1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 horizontal="center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8" fillId="0" borderId="19" xfId="0" applyFont="1" applyBorder="1"/>
    <xf numFmtId="49" fontId="18" fillId="0" borderId="19" xfId="0" applyNumberFormat="1" applyFont="1" applyBorder="1" applyAlignment="1">
      <alignment horizontal="center"/>
    </xf>
    <xf numFmtId="0" fontId="18" fillId="0" borderId="0" xfId="0" applyFont="1"/>
    <xf numFmtId="0" fontId="27" fillId="0" borderId="0" xfId="13"/>
    <xf numFmtId="0" fontId="29" fillId="0" borderId="0" xfId="0" applyFont="1"/>
    <xf numFmtId="0" fontId="30" fillId="0" borderId="0" xfId="0" applyFont="1"/>
    <xf numFmtId="0" fontId="28" fillId="0" borderId="2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</cellXfs>
  <cellStyles count="14">
    <cellStyle name="60% - Accent1" xfId="6" builtinId="32"/>
    <cellStyle name="60% - Accent3" xfId="7" builtinId="40"/>
    <cellStyle name="Calculation" xfId="5" builtinId="22"/>
    <cellStyle name="Comma 2" xfId="11" xr:uid="{D248783F-6F56-4D96-A594-61D0589C823E}"/>
    <cellStyle name="Currency 2" xfId="12" xr:uid="{2B62D454-6CF6-4AD2-BB18-EAAD5D899EBF}"/>
    <cellStyle name="Excel Built-in Normal" xfId="8" xr:uid="{33B2692B-D2AB-4B62-B2A1-767286FB40AA}"/>
    <cellStyle name="Good" xfId="2" builtinId="26"/>
    <cellStyle name="Hyperlink" xfId="13" builtinId="8"/>
    <cellStyle name="Neutral" xfId="3" builtinId="28"/>
    <cellStyle name="Normal" xfId="0" builtinId="0"/>
    <cellStyle name="Normal 2" xfId="10" xr:uid="{5F739834-3165-4DB2-8EBC-B781C4BEF083}"/>
    <cellStyle name="Output" xfId="4" builtinId="21"/>
    <cellStyle name="Percent" xfId="1" builtinId="5"/>
    <cellStyle name="Percent 2" xfId="9" xr:uid="{8445C790-C980-4FBC-95B2-F87DD05351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40\Tamara%20Kilibarda\Kompartivna%20metoda\Tamara\FINAL\eksel%20za%20nalaz%20-%20VERAT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na"/>
      <sheetName val="rezime procene"/>
      <sheetName val="sadržaj"/>
      <sheetName val="List2"/>
      <sheetName val="List1"/>
      <sheetName val="List3"/>
    </sheetNames>
    <sheetDataSet>
      <sheetData sheetId="0">
        <row r="26">
          <cell r="E26">
            <v>9.8011111111111102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tssd.edu.rs/dl_matematika/finansijske%20tablice%20do%20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7"/>
  <sheetViews>
    <sheetView workbookViewId="0">
      <selection activeCell="B30" sqref="B30"/>
    </sheetView>
  </sheetViews>
  <sheetFormatPr defaultRowHeight="14.4" x14ac:dyDescent="0.3"/>
  <cols>
    <col min="1" max="1" width="18.6640625" style="10" bestFit="1" customWidth="1"/>
    <col min="2" max="2" width="41.5546875" style="11" bestFit="1" customWidth="1"/>
    <col min="3" max="3" width="2.33203125" customWidth="1"/>
    <col min="4" max="4" width="47" style="10" bestFit="1" customWidth="1"/>
    <col min="5" max="7" width="12.109375" bestFit="1" customWidth="1"/>
    <col min="8" max="8" width="12.44140625" customWidth="1"/>
  </cols>
  <sheetData>
    <row r="2" spans="1:9" x14ac:dyDescent="0.3">
      <c r="D2" s="82"/>
      <c r="E2" s="82"/>
      <c r="F2" s="82"/>
      <c r="G2" s="82"/>
      <c r="H2" s="82"/>
    </row>
    <row r="3" spans="1:9" x14ac:dyDescent="0.3">
      <c r="A3" s="83" t="s">
        <v>24</v>
      </c>
      <c r="B3" s="83"/>
      <c r="D3" s="12"/>
      <c r="E3" s="13">
        <v>1</v>
      </c>
      <c r="F3" s="13">
        <v>2</v>
      </c>
      <c r="G3" s="13">
        <v>3</v>
      </c>
      <c r="H3" s="13">
        <v>4</v>
      </c>
      <c r="I3" s="1"/>
    </row>
    <row r="4" spans="1:9" x14ac:dyDescent="0.3">
      <c r="A4" s="14" t="s">
        <v>25</v>
      </c>
      <c r="B4" s="15" t="s">
        <v>26</v>
      </c>
      <c r="D4" s="16" t="s">
        <v>27</v>
      </c>
      <c r="E4" s="17" t="s">
        <v>28</v>
      </c>
      <c r="F4" s="17" t="s">
        <v>28</v>
      </c>
      <c r="G4" s="18"/>
      <c r="H4" s="17" t="s">
        <v>28</v>
      </c>
    </row>
    <row r="5" spans="1:9" x14ac:dyDescent="0.3">
      <c r="A5" s="14" t="s">
        <v>29</v>
      </c>
      <c r="B5" s="15" t="s">
        <v>30</v>
      </c>
      <c r="D5" s="16" t="s">
        <v>31</v>
      </c>
      <c r="E5" s="19" t="s">
        <v>32</v>
      </c>
      <c r="F5" s="19" t="s">
        <v>32</v>
      </c>
      <c r="G5" s="20" t="s">
        <v>33</v>
      </c>
      <c r="H5" s="19" t="s">
        <v>32</v>
      </c>
    </row>
    <row r="6" spans="1:9" x14ac:dyDescent="0.3">
      <c r="A6" s="14" t="s">
        <v>34</v>
      </c>
      <c r="B6" s="15" t="s">
        <v>35</v>
      </c>
      <c r="D6" s="16" t="s">
        <v>36</v>
      </c>
      <c r="E6" s="19" t="s">
        <v>37</v>
      </c>
      <c r="F6" s="19" t="s">
        <v>38</v>
      </c>
      <c r="G6" s="20"/>
      <c r="H6" s="19" t="s">
        <v>38</v>
      </c>
    </row>
    <row r="7" spans="1:9" x14ac:dyDescent="0.3">
      <c r="A7" s="14" t="s">
        <v>39</v>
      </c>
      <c r="B7" s="21">
        <v>396</v>
      </c>
      <c r="D7" s="16" t="s">
        <v>40</v>
      </c>
      <c r="E7" s="19" t="s">
        <v>41</v>
      </c>
      <c r="F7" s="19" t="s">
        <v>41</v>
      </c>
      <c r="G7" s="20" t="s">
        <v>42</v>
      </c>
      <c r="H7" s="19" t="s">
        <v>41</v>
      </c>
    </row>
    <row r="8" spans="1:9" x14ac:dyDescent="0.3">
      <c r="A8" s="14" t="s">
        <v>43</v>
      </c>
      <c r="B8" s="15" t="s">
        <v>44</v>
      </c>
      <c r="D8" s="16" t="s">
        <v>45</v>
      </c>
      <c r="E8" s="19">
        <v>300</v>
      </c>
      <c r="F8" s="19">
        <v>300</v>
      </c>
      <c r="G8" s="20">
        <v>350</v>
      </c>
      <c r="H8" s="19">
        <v>300</v>
      </c>
    </row>
    <row r="9" spans="1:9" x14ac:dyDescent="0.3">
      <c r="A9" s="14" t="s">
        <v>46</v>
      </c>
      <c r="B9" s="15" t="s">
        <v>47</v>
      </c>
      <c r="D9" s="16" t="s">
        <v>48</v>
      </c>
      <c r="E9" s="22">
        <v>9</v>
      </c>
      <c r="F9" s="22">
        <v>10</v>
      </c>
      <c r="G9" s="23">
        <v>11.428570000000001</v>
      </c>
      <c r="H9" s="22">
        <v>11.66667</v>
      </c>
    </row>
    <row r="10" spans="1:9" x14ac:dyDescent="0.3">
      <c r="A10" s="14" t="s">
        <v>49</v>
      </c>
      <c r="B10" s="15" t="s">
        <v>47</v>
      </c>
      <c r="D10" s="16" t="s">
        <v>50</v>
      </c>
      <c r="E10" s="24">
        <f>E8*E9</f>
        <v>2700</v>
      </c>
      <c r="F10" s="24">
        <f>F8*F9</f>
        <v>3000</v>
      </c>
      <c r="G10" s="25">
        <f>G8*G9</f>
        <v>3999.9995000000004</v>
      </c>
      <c r="H10" s="24">
        <f>H8*H9</f>
        <v>3500.0009999999997</v>
      </c>
    </row>
    <row r="11" spans="1:9" x14ac:dyDescent="0.3">
      <c r="A11" s="14" t="s">
        <v>51</v>
      </c>
      <c r="B11" s="15" t="s">
        <v>52</v>
      </c>
      <c r="D11" s="16" t="s">
        <v>53</v>
      </c>
      <c r="E11" s="26">
        <v>-0.05</v>
      </c>
      <c r="F11" s="26">
        <v>-0.05</v>
      </c>
      <c r="G11" s="27">
        <v>0</v>
      </c>
      <c r="H11" s="26">
        <v>-0.05</v>
      </c>
    </row>
    <row r="12" spans="1:9" x14ac:dyDescent="0.3">
      <c r="D12" s="16" t="s">
        <v>54</v>
      </c>
      <c r="E12" s="26">
        <v>0</v>
      </c>
      <c r="F12" s="26">
        <v>0</v>
      </c>
      <c r="G12" s="27">
        <v>0</v>
      </c>
      <c r="H12" s="26">
        <v>0</v>
      </c>
    </row>
    <row r="13" spans="1:9" x14ac:dyDescent="0.3">
      <c r="A13" s="84" t="s">
        <v>55</v>
      </c>
      <c r="B13" s="85"/>
      <c r="D13" s="16" t="s">
        <v>56</v>
      </c>
      <c r="E13" s="26">
        <v>-0.05</v>
      </c>
      <c r="F13" s="26">
        <v>-0.05</v>
      </c>
      <c r="G13" s="27">
        <v>0</v>
      </c>
      <c r="H13" s="26">
        <v>-0.05</v>
      </c>
    </row>
    <row r="14" spans="1:9" x14ac:dyDescent="0.3">
      <c r="A14" s="28" t="s">
        <v>57</v>
      </c>
      <c r="B14" s="78" t="s">
        <v>58</v>
      </c>
      <c r="D14" s="16" t="s">
        <v>59</v>
      </c>
      <c r="E14" s="26">
        <v>0.02</v>
      </c>
      <c r="F14" s="26">
        <v>0.02</v>
      </c>
      <c r="G14" s="27">
        <v>0.05</v>
      </c>
      <c r="H14" s="26">
        <v>0.02</v>
      </c>
    </row>
    <row r="15" spans="1:9" x14ac:dyDescent="0.3">
      <c r="A15" s="29" t="s">
        <v>60</v>
      </c>
      <c r="B15" s="79" t="s">
        <v>58</v>
      </c>
      <c r="D15" s="16" t="s">
        <v>61</v>
      </c>
      <c r="E15" s="26">
        <v>0</v>
      </c>
      <c r="F15" s="26">
        <v>0</v>
      </c>
      <c r="G15" s="27">
        <v>0</v>
      </c>
      <c r="H15" s="26">
        <v>0</v>
      </c>
    </row>
    <row r="16" spans="1:9" x14ac:dyDescent="0.3">
      <c r="A16" s="29" t="s">
        <v>62</v>
      </c>
      <c r="B16" s="79" t="s">
        <v>33</v>
      </c>
      <c r="D16" s="16" t="s">
        <v>63</v>
      </c>
      <c r="E16" s="26">
        <v>0</v>
      </c>
      <c r="F16" s="26">
        <v>0</v>
      </c>
      <c r="G16" s="27">
        <v>0</v>
      </c>
      <c r="H16" s="26">
        <v>0</v>
      </c>
    </row>
    <row r="17" spans="1:8" x14ac:dyDescent="0.3">
      <c r="A17" s="30" t="s">
        <v>64</v>
      </c>
      <c r="B17" s="80" t="s">
        <v>58</v>
      </c>
      <c r="D17" s="16" t="s">
        <v>65</v>
      </c>
      <c r="E17" s="31">
        <f>SUM(E11:E16)</f>
        <v>-0.08</v>
      </c>
      <c r="F17" s="31">
        <f>SUM(F11:F16)</f>
        <v>-0.08</v>
      </c>
      <c r="G17" s="32">
        <f>SUM(G11:G16)</f>
        <v>0.05</v>
      </c>
      <c r="H17" s="33">
        <f>SUM(H11:H16)</f>
        <v>-0.08</v>
      </c>
    </row>
    <row r="18" spans="1:8" x14ac:dyDescent="0.3">
      <c r="D18" s="16" t="s">
        <v>66</v>
      </c>
      <c r="E18" s="34">
        <f>E9*(1+E17)</f>
        <v>8.2800000000000011</v>
      </c>
      <c r="F18" s="34">
        <f>F9*(1+F17)</f>
        <v>9.2000000000000011</v>
      </c>
      <c r="G18" s="35">
        <f>G9*(1+G17)</f>
        <v>11.9999985</v>
      </c>
      <c r="H18" s="34">
        <f>H9*(1+H17)</f>
        <v>10.733336400000001</v>
      </c>
    </row>
    <row r="19" spans="1:8" ht="15" thickBot="1" x14ac:dyDescent="0.35">
      <c r="D19" s="36" t="s">
        <v>67</v>
      </c>
      <c r="E19" s="37">
        <f>E3/H3</f>
        <v>0.25</v>
      </c>
      <c r="F19" s="37">
        <f>E19</f>
        <v>0.25</v>
      </c>
      <c r="G19" s="38">
        <f>F19</f>
        <v>0.25</v>
      </c>
      <c r="H19" s="37">
        <f>G19</f>
        <v>0.25</v>
      </c>
    </row>
    <row r="20" spans="1:8" ht="15.6" thickTop="1" thickBot="1" x14ac:dyDescent="0.35">
      <c r="D20" s="39" t="s">
        <v>68</v>
      </c>
      <c r="E20" s="86">
        <f>AVERAGE(E18:H18)</f>
        <v>10.053333725000002</v>
      </c>
      <c r="F20" s="87"/>
      <c r="G20" s="87"/>
      <c r="H20" s="88"/>
    </row>
    <row r="21" spans="1:8" ht="15" thickTop="1" x14ac:dyDescent="0.3">
      <c r="D21" s="40" t="s">
        <v>69</v>
      </c>
      <c r="E21" s="89">
        <f>STDEV(E18:H18)</f>
        <v>1.6456810475380361</v>
      </c>
      <c r="F21" s="90"/>
      <c r="G21" s="90"/>
      <c r="H21" s="91"/>
    </row>
    <row r="23" spans="1:8" x14ac:dyDescent="0.3">
      <c r="A23" s="81" t="s">
        <v>70</v>
      </c>
      <c r="B23" s="81"/>
      <c r="C23" s="81"/>
      <c r="D23" s="81"/>
      <c r="E23" s="81"/>
      <c r="F23" s="81"/>
      <c r="G23" s="81"/>
      <c r="H23" s="81"/>
    </row>
    <row r="24" spans="1:8" x14ac:dyDescent="0.3">
      <c r="A24" s="81" t="s">
        <v>71</v>
      </c>
      <c r="B24" s="81"/>
      <c r="C24" s="81"/>
      <c r="D24" s="81"/>
      <c r="E24" s="81"/>
      <c r="F24" s="81"/>
      <c r="G24" s="81"/>
      <c r="H24" s="81"/>
    </row>
    <row r="25" spans="1:8" x14ac:dyDescent="0.3">
      <c r="A25" s="81" t="s">
        <v>72</v>
      </c>
      <c r="B25" s="81"/>
      <c r="C25" s="81"/>
      <c r="D25" s="81"/>
      <c r="E25" s="81"/>
      <c r="F25" s="81"/>
      <c r="G25" s="81"/>
      <c r="H25" s="81"/>
    </row>
    <row r="26" spans="1:8" x14ac:dyDescent="0.3">
      <c r="A26" s="81" t="s">
        <v>73</v>
      </c>
      <c r="B26" s="81"/>
      <c r="C26" s="81"/>
      <c r="D26" s="81"/>
      <c r="E26" s="81"/>
      <c r="F26" s="81"/>
      <c r="G26" s="81"/>
      <c r="H26" s="81"/>
    </row>
    <row r="27" spans="1:8" x14ac:dyDescent="0.3">
      <c r="A27" s="81" t="s">
        <v>74</v>
      </c>
      <c r="B27" s="81"/>
      <c r="C27" s="81"/>
      <c r="D27" s="81"/>
      <c r="E27" s="81"/>
      <c r="F27" s="81"/>
      <c r="G27" s="81"/>
      <c r="H27" s="81"/>
    </row>
  </sheetData>
  <mergeCells count="10">
    <mergeCell ref="A24:H24"/>
    <mergeCell ref="A25:H25"/>
    <mergeCell ref="A26:H26"/>
    <mergeCell ref="A27:H27"/>
    <mergeCell ref="D2:H2"/>
    <mergeCell ref="A3:B3"/>
    <mergeCell ref="A13:B13"/>
    <mergeCell ref="E20:H20"/>
    <mergeCell ref="E21:H21"/>
    <mergeCell ref="A23:H23"/>
  </mergeCells>
  <pageMargins left="0.56999999999999995" right="0.36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workbookViewId="0">
      <selection activeCell="B12" sqref="B12"/>
    </sheetView>
  </sheetViews>
  <sheetFormatPr defaultRowHeight="14.4" x14ac:dyDescent="0.3"/>
  <cols>
    <col min="1" max="1" width="59.33203125" style="1" bestFit="1" customWidth="1"/>
    <col min="2" max="2" width="14.6640625" style="1" bestFit="1" customWidth="1"/>
    <col min="3" max="4" width="14.6640625" bestFit="1" customWidth="1"/>
    <col min="5" max="5" width="16.88671875" bestFit="1" customWidth="1"/>
  </cols>
  <sheetData>
    <row r="1" spans="1:5" x14ac:dyDescent="0.3">
      <c r="A1" s="92" t="s">
        <v>17</v>
      </c>
      <c r="B1" s="92"/>
    </row>
    <row r="2" spans="1:5" ht="12.75" customHeight="1" x14ac:dyDescent="0.3"/>
    <row r="3" spans="1:5" s="8" customFormat="1" ht="24.75" customHeight="1" x14ac:dyDescent="0.3">
      <c r="A3" s="75" t="s">
        <v>6</v>
      </c>
      <c r="B3" s="76" t="s">
        <v>8</v>
      </c>
    </row>
    <row r="4" spans="1:5" ht="20.100000000000001" customHeight="1" x14ac:dyDescent="0.3">
      <c r="A4" s="61" t="s">
        <v>7</v>
      </c>
      <c r="B4" s="62">
        <v>396</v>
      </c>
      <c r="E4" t="s">
        <v>76</v>
      </c>
    </row>
    <row r="5" spans="1:5" ht="20.100000000000001" customHeight="1" x14ac:dyDescent="0.3">
      <c r="A5" s="61" t="s">
        <v>75</v>
      </c>
      <c r="B5" s="63">
        <f>B4*(1-E5)</f>
        <v>356.40000000000003</v>
      </c>
      <c r="E5" s="41">
        <v>0.1</v>
      </c>
    </row>
    <row r="6" spans="1:5" ht="20.100000000000001" customHeight="1" x14ac:dyDescent="0.3">
      <c r="A6" s="61" t="s">
        <v>20</v>
      </c>
      <c r="B6" s="64">
        <v>1</v>
      </c>
    </row>
    <row r="7" spans="1:5" ht="20.100000000000001" customHeight="1" x14ac:dyDescent="0.3">
      <c r="A7" s="61" t="s">
        <v>23</v>
      </c>
      <c r="B7" s="65">
        <v>120</v>
      </c>
    </row>
    <row r="8" spans="1:5" ht="20.100000000000001" customHeight="1" x14ac:dyDescent="0.3">
      <c r="A8" s="61" t="s">
        <v>22</v>
      </c>
      <c r="B8" s="66">
        <f>'Komparativna matrica #4'!E20</f>
        <v>10.053333725000002</v>
      </c>
      <c r="C8" s="9">
        <f>B8/B4</f>
        <v>2.5387206376262631E-2</v>
      </c>
    </row>
    <row r="9" spans="1:5" ht="20.100000000000001" customHeight="1" x14ac:dyDescent="0.3">
      <c r="A9" s="61" t="s">
        <v>77</v>
      </c>
      <c r="B9" s="67">
        <f>E5</f>
        <v>0.1</v>
      </c>
    </row>
    <row r="10" spans="1:5" ht="20.100000000000001" customHeight="1" x14ac:dyDescent="0.3">
      <c r="A10" s="61" t="s">
        <v>78</v>
      </c>
      <c r="B10" s="65">
        <v>30</v>
      </c>
    </row>
    <row r="11" spans="1:5" ht="20.100000000000001" customHeight="1" x14ac:dyDescent="0.3">
      <c r="A11" s="61" t="s">
        <v>89</v>
      </c>
      <c r="B11" s="64">
        <v>0.03</v>
      </c>
    </row>
    <row r="12" spans="1:5" ht="20.100000000000001" customHeight="1" x14ac:dyDescent="0.3">
      <c r="A12" s="61" t="s">
        <v>9</v>
      </c>
      <c r="B12" s="68">
        <v>0.1</v>
      </c>
    </row>
    <row r="13" spans="1:5" ht="20.100000000000001" customHeight="1" x14ac:dyDescent="0.3">
      <c r="A13" s="69" t="s">
        <v>19</v>
      </c>
      <c r="B13" s="70">
        <v>9.5000000000000001E-2</v>
      </c>
    </row>
    <row r="14" spans="1:5" x14ac:dyDescent="0.3">
      <c r="A14" s="2"/>
    </row>
    <row r="15" spans="1:5" x14ac:dyDescent="0.3">
      <c r="B15" s="3"/>
    </row>
    <row r="16" spans="1:5" x14ac:dyDescent="0.3">
      <c r="B16" s="4"/>
    </row>
    <row r="17" spans="1:2" x14ac:dyDescent="0.3">
      <c r="B17" s="3"/>
    </row>
    <row r="18" spans="1:2" x14ac:dyDescent="0.3">
      <c r="B18" s="4"/>
    </row>
    <row r="19" spans="1:2" x14ac:dyDescent="0.3">
      <c r="B19" s="4"/>
    </row>
    <row r="21" spans="1:2" x14ac:dyDescent="0.3">
      <c r="B21" s="5"/>
    </row>
    <row r="22" spans="1:2" x14ac:dyDescent="0.3">
      <c r="B22" s="5"/>
    </row>
    <row r="23" spans="1:2" x14ac:dyDescent="0.3">
      <c r="A23" s="6"/>
      <c r="B23" s="7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24"/>
  <sheetViews>
    <sheetView workbookViewId="0">
      <selection activeCell="G22" sqref="G22"/>
    </sheetView>
  </sheetViews>
  <sheetFormatPr defaultRowHeight="14.4" x14ac:dyDescent="0.3"/>
  <cols>
    <col min="1" max="1" width="4" customWidth="1"/>
    <col min="2" max="2" width="37.6640625" customWidth="1"/>
    <col min="3" max="3" width="9.88671875" bestFit="1" customWidth="1"/>
    <col min="4" max="7" width="11" customWidth="1"/>
    <col min="9" max="9" width="14.33203125" hidden="1" customWidth="1"/>
    <col min="11" max="11" width="14.33203125" bestFit="1" customWidth="1"/>
  </cols>
  <sheetData>
    <row r="1" spans="2:8" x14ac:dyDescent="0.3">
      <c r="B1" s="94" t="s">
        <v>18</v>
      </c>
      <c r="C1" s="94"/>
      <c r="D1" s="94"/>
      <c r="E1" s="94"/>
      <c r="F1" s="94"/>
      <c r="G1" s="94"/>
    </row>
    <row r="3" spans="2:8" ht="21.75" customHeight="1" x14ac:dyDescent="0.3">
      <c r="B3" s="93" t="s">
        <v>6</v>
      </c>
      <c r="C3" s="93" t="s">
        <v>0</v>
      </c>
      <c r="D3" s="93"/>
      <c r="E3" s="93"/>
      <c r="F3" s="93"/>
      <c r="G3" s="93"/>
    </row>
    <row r="4" spans="2:8" x14ac:dyDescent="0.3">
      <c r="B4" s="93"/>
      <c r="C4" s="77" t="s">
        <v>1</v>
      </c>
      <c r="D4" s="77" t="s">
        <v>2</v>
      </c>
      <c r="E4" s="77" t="s">
        <v>3</v>
      </c>
      <c r="F4" s="77" t="s">
        <v>4</v>
      </c>
      <c r="G4" s="77" t="s">
        <v>5</v>
      </c>
    </row>
    <row r="5" spans="2:8" x14ac:dyDescent="0.3">
      <c r="B5" s="43" t="s">
        <v>81</v>
      </c>
      <c r="C5" s="44">
        <v>0.4</v>
      </c>
      <c r="D5" s="44">
        <v>0.6</v>
      </c>
      <c r="E5" s="44">
        <v>0.8</v>
      </c>
      <c r="F5" s="44">
        <v>0.9</v>
      </c>
      <c r="G5" s="44">
        <v>0.95</v>
      </c>
    </row>
    <row r="6" spans="2:8" x14ac:dyDescent="0.3">
      <c r="B6" s="43" t="s">
        <v>10</v>
      </c>
      <c r="C6" s="45">
        <f>C7+C8</f>
        <v>156.81600000000003</v>
      </c>
      <c r="D6" s="45">
        <f t="shared" ref="D6:G6" si="0">D7+D8</f>
        <v>235.22399999999999</v>
      </c>
      <c r="E6" s="45">
        <f t="shared" si="0"/>
        <v>313.63200000000006</v>
      </c>
      <c r="F6" s="45">
        <f t="shared" si="0"/>
        <v>352.83600000000007</v>
      </c>
      <c r="G6" s="45">
        <f t="shared" si="0"/>
        <v>372.43800000000005</v>
      </c>
    </row>
    <row r="7" spans="2:8" x14ac:dyDescent="0.3">
      <c r="B7" s="43" t="s">
        <v>80</v>
      </c>
      <c r="C7" s="46">
        <f>C5*'Pretpostavke za DNT'!$B$5</f>
        <v>142.56000000000003</v>
      </c>
      <c r="D7" s="46">
        <f>D5*'Pretpostavke za DNT'!$B$5</f>
        <v>213.84</v>
      </c>
      <c r="E7" s="46">
        <f>E5*'Pretpostavke za DNT'!$B$5</f>
        <v>285.12000000000006</v>
      </c>
      <c r="F7" s="46">
        <f>F5*'Pretpostavke za DNT'!$B$5</f>
        <v>320.76000000000005</v>
      </c>
      <c r="G7" s="46">
        <f>G5*'Pretpostavke za DNT'!$B$5</f>
        <v>338.58000000000004</v>
      </c>
    </row>
    <row r="8" spans="2:8" x14ac:dyDescent="0.3">
      <c r="B8" s="43" t="s">
        <v>79</v>
      </c>
      <c r="C8" s="45">
        <f>C7*'Pretpostavke za DNT'!$B$9</f>
        <v>14.256000000000004</v>
      </c>
      <c r="D8" s="45">
        <f>D7*'Pretpostavke za DNT'!$B$9</f>
        <v>21.384</v>
      </c>
      <c r="E8" s="45">
        <f>E7*'Pretpostavke za DNT'!$B$9</f>
        <v>28.512000000000008</v>
      </c>
      <c r="F8" s="45">
        <f>F7*'Pretpostavke za DNT'!$B$9</f>
        <v>32.076000000000008</v>
      </c>
      <c r="G8" s="45">
        <f>G7*'Pretpostavke za DNT'!$B$9</f>
        <v>33.858000000000004</v>
      </c>
    </row>
    <row r="9" spans="2:8" x14ac:dyDescent="0.3">
      <c r="B9" s="43" t="s">
        <v>11</v>
      </c>
      <c r="C9" s="47">
        <f>'Pretpostavke za DNT'!B8</f>
        <v>10.053333725000002</v>
      </c>
      <c r="D9" s="47">
        <f>C9*(1+D10)</f>
        <v>10.354933736750002</v>
      </c>
      <c r="E9" s="47">
        <f>D9*(1+E10)</f>
        <v>10.665581748852503</v>
      </c>
      <c r="F9" s="47">
        <f>E9*(1+F10)</f>
        <v>10.985549201318079</v>
      </c>
      <c r="G9" s="47">
        <f>F9*(1+G10)</f>
        <v>11.315115677357621</v>
      </c>
    </row>
    <row r="10" spans="2:8" x14ac:dyDescent="0.3">
      <c r="B10" s="43" t="s">
        <v>13</v>
      </c>
      <c r="C10" s="44">
        <f>'Pretpostavke za DNT'!$B$11</f>
        <v>0.03</v>
      </c>
      <c r="D10" s="44">
        <f>'Pretpostavke za DNT'!$B$11</f>
        <v>0.03</v>
      </c>
      <c r="E10" s="44">
        <f>'Pretpostavke za DNT'!$B$11</f>
        <v>0.03</v>
      </c>
      <c r="F10" s="44">
        <f>'Pretpostavke za DNT'!$B$11</f>
        <v>0.03</v>
      </c>
      <c r="G10" s="44">
        <f>'Pretpostavke za DNT'!$B$11</f>
        <v>0.03</v>
      </c>
    </row>
    <row r="11" spans="2:8" x14ac:dyDescent="0.3">
      <c r="B11" s="48" t="s">
        <v>12</v>
      </c>
      <c r="C11" s="49">
        <f>C6*C9*12</f>
        <v>18918.282977035207</v>
      </c>
      <c r="D11" s="49">
        <f t="shared" ref="D11:G11" si="1">D6*D9*12</f>
        <v>29228.747199519388</v>
      </c>
      <c r="E11" s="49">
        <f t="shared" si="1"/>
        <v>40140.812820673309</v>
      </c>
      <c r="F11" s="49">
        <f t="shared" si="1"/>
        <v>46513.166855955205</v>
      </c>
      <c r="G11" s="49">
        <f t="shared" si="1"/>
        <v>50570.148631724616</v>
      </c>
    </row>
    <row r="12" spans="2:8" ht="9" customHeight="1" x14ac:dyDescent="0.3">
      <c r="B12" s="42"/>
      <c r="C12" s="42"/>
      <c r="D12" s="42"/>
      <c r="E12" s="42"/>
      <c r="F12" s="42"/>
      <c r="G12" s="42"/>
    </row>
    <row r="13" spans="2:8" x14ac:dyDescent="0.3">
      <c r="B13" s="43" t="s">
        <v>82</v>
      </c>
      <c r="C13" s="45">
        <f>C11*'Pretpostavke za DNT'!$B$11</f>
        <v>567.54848931105619</v>
      </c>
      <c r="D13" s="45">
        <f>D11*'Pretpostavke za DNT'!$B$11</f>
        <v>876.86241598558161</v>
      </c>
      <c r="E13" s="45">
        <f>E11*'Pretpostavke za DNT'!$B$11</f>
        <v>1204.2243846201993</v>
      </c>
      <c r="F13" s="45">
        <f>F11*'Pretpostavke za DNT'!$B$11</f>
        <v>1395.3950056786562</v>
      </c>
      <c r="G13" s="45">
        <f>G11*'Pretpostavke za DNT'!$B$11</f>
        <v>1517.1044589517385</v>
      </c>
    </row>
    <row r="14" spans="2:8" x14ac:dyDescent="0.3">
      <c r="B14" s="48" t="s">
        <v>14</v>
      </c>
      <c r="C14" s="49">
        <f>C13</f>
        <v>567.54848931105619</v>
      </c>
      <c r="D14" s="49">
        <f t="shared" ref="D14:G14" si="2">D13</f>
        <v>876.86241598558161</v>
      </c>
      <c r="E14" s="49">
        <f t="shared" si="2"/>
        <v>1204.2243846201993</v>
      </c>
      <c r="F14" s="49">
        <f t="shared" si="2"/>
        <v>1395.3950056786562</v>
      </c>
      <c r="G14" s="49">
        <f t="shared" si="2"/>
        <v>1517.1044589517385</v>
      </c>
    </row>
    <row r="15" spans="2:8" x14ac:dyDescent="0.3">
      <c r="B15" s="43" t="s">
        <v>83</v>
      </c>
      <c r="C15" s="50">
        <f>'Pretpostavke za DNT'!B4*'Pretpostavke za DNT'!B7</f>
        <v>47520</v>
      </c>
      <c r="D15" s="50"/>
      <c r="E15" s="50"/>
      <c r="F15" s="50"/>
      <c r="G15" s="50"/>
    </row>
    <row r="16" spans="2:8" ht="15" customHeight="1" x14ac:dyDescent="0.3">
      <c r="B16" s="51" t="s">
        <v>84</v>
      </c>
      <c r="C16" s="52">
        <f>C7*'Pretpostavke za DNT'!$B$10</f>
        <v>4276.8000000000011</v>
      </c>
      <c r="D16" s="52">
        <f>(D7-C7)*'Pretpostavke za DNT'!B10</f>
        <v>2138.3999999999992</v>
      </c>
      <c r="E16" s="52">
        <f>(E7-D7)*'Pretpostavke za DNT'!B10</f>
        <v>2138.4000000000019</v>
      </c>
      <c r="F16" s="52">
        <f>(F7-E7)*'Pretpostavke za DNT'!B10</f>
        <v>1069.1999999999996</v>
      </c>
      <c r="G16" s="52">
        <f>(G7-F7)*'Pretpostavke za DNT'!B10</f>
        <v>534.5999999999998</v>
      </c>
      <c r="H16" s="71"/>
    </row>
    <row r="17" spans="2:11" ht="7.5" customHeight="1" x14ac:dyDescent="0.3">
      <c r="B17" s="51"/>
      <c r="C17" s="52"/>
      <c r="D17" s="52"/>
      <c r="E17" s="52"/>
      <c r="F17" s="52"/>
      <c r="G17" s="52"/>
    </row>
    <row r="18" spans="2:11" x14ac:dyDescent="0.3">
      <c r="B18" s="43" t="s">
        <v>15</v>
      </c>
      <c r="C18" s="50">
        <f>C11-C14-C15-C16</f>
        <v>-33446.065512275847</v>
      </c>
      <c r="D18" s="50">
        <f t="shared" ref="D18:G18" si="3">D11-D14-D15-D16</f>
        <v>26213.484783533808</v>
      </c>
      <c r="E18" s="50">
        <f t="shared" si="3"/>
        <v>36798.188436053111</v>
      </c>
      <c r="F18" s="50">
        <f t="shared" si="3"/>
        <v>44048.571850276552</v>
      </c>
      <c r="G18" s="50">
        <f t="shared" si="3"/>
        <v>48518.444172772877</v>
      </c>
    </row>
    <row r="19" spans="2:11" x14ac:dyDescent="0.3">
      <c r="B19" s="43" t="s">
        <v>86</v>
      </c>
      <c r="C19" s="50"/>
      <c r="D19" s="50"/>
      <c r="E19" s="50"/>
      <c r="F19" s="50"/>
      <c r="G19" s="50">
        <f>G18/'Pretpostavke za DNT'!B13</f>
        <v>510720.4649765566</v>
      </c>
    </row>
    <row r="20" spans="2:11" x14ac:dyDescent="0.3">
      <c r="B20" s="43" t="s">
        <v>85</v>
      </c>
      <c r="C20" s="49">
        <f>C18+C19</f>
        <v>-33446.065512275847</v>
      </c>
      <c r="D20" s="49">
        <f t="shared" ref="D20:G20" si="4">D18+D19</f>
        <v>26213.484783533808</v>
      </c>
      <c r="E20" s="49">
        <f t="shared" si="4"/>
        <v>36798.188436053111</v>
      </c>
      <c r="F20" s="49">
        <f t="shared" si="4"/>
        <v>44048.571850276552</v>
      </c>
      <c r="G20" s="49">
        <f t="shared" si="4"/>
        <v>559238.90914932953</v>
      </c>
    </row>
    <row r="21" spans="2:11" x14ac:dyDescent="0.3">
      <c r="B21" s="43" t="s">
        <v>16</v>
      </c>
      <c r="C21" s="42">
        <f>1/(1+'Pretpostavke za DNT'!$B$12)</f>
        <v>0.90909090909090906</v>
      </c>
      <c r="D21" s="53">
        <f>C21/(1+'Pretpostavke za DNT'!B12)</f>
        <v>0.82644628099173545</v>
      </c>
      <c r="E21" s="42">
        <f>D21/(1+'Pretpostavke za DNT'!B12)</f>
        <v>0.75131480090157765</v>
      </c>
      <c r="F21" s="42">
        <f>E21/(1+'Pretpostavke za DNT'!B12)</f>
        <v>0.68301345536507052</v>
      </c>
      <c r="G21" s="42">
        <f>F21/(1+'Pretpostavke za DNT'!B12)</f>
        <v>0.62092132305915493</v>
      </c>
      <c r="K21" s="60"/>
    </row>
    <row r="22" spans="2:11" x14ac:dyDescent="0.3">
      <c r="B22" s="43" t="s">
        <v>87</v>
      </c>
      <c r="C22" s="50">
        <f>C20*C21</f>
        <v>-30405.514102068952</v>
      </c>
      <c r="D22" s="50">
        <f>D20*D21</f>
        <v>21664.037011184962</v>
      </c>
      <c r="E22" s="50">
        <f>E20*E21</f>
        <v>27647.023618371979</v>
      </c>
      <c r="F22" s="50">
        <f>F20*F21</f>
        <v>30085.767263353966</v>
      </c>
      <c r="G22" s="50">
        <f>G20*G21</f>
        <v>347243.36337516026</v>
      </c>
    </row>
    <row r="23" spans="2:11" x14ac:dyDescent="0.3">
      <c r="B23" s="54"/>
      <c r="C23" s="55"/>
      <c r="D23" s="56"/>
      <c r="E23" s="56"/>
      <c r="F23" s="56"/>
      <c r="G23" s="56"/>
      <c r="I23" t="s">
        <v>21</v>
      </c>
    </row>
    <row r="24" spans="2:11" x14ac:dyDescent="0.3">
      <c r="B24" s="73" t="s">
        <v>88</v>
      </c>
      <c r="C24" s="74">
        <f>SUM(C22:G22)</f>
        <v>396234.67716600222</v>
      </c>
      <c r="D24" s="57"/>
      <c r="E24" s="58"/>
      <c r="F24" s="59"/>
      <c r="G24" s="59"/>
      <c r="I24" s="60">
        <f>NPV('Pretpostavke za DNT'!B12,C20:G20)</f>
        <v>396234.67716600216</v>
      </c>
    </row>
  </sheetData>
  <mergeCells count="3">
    <mergeCell ref="C3:G3"/>
    <mergeCell ref="B3:B4"/>
    <mergeCell ref="B1:G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DFDCC-5C3C-43F0-9113-7F67469CB7C6}">
  <dimension ref="A1:O19"/>
  <sheetViews>
    <sheetView zoomScaleNormal="100" workbookViewId="0">
      <selection activeCell="I10" sqref="I10"/>
    </sheetView>
  </sheetViews>
  <sheetFormatPr defaultRowHeight="13.8" x14ac:dyDescent="0.25"/>
  <cols>
    <col min="1" max="1" width="3.5546875" style="95" bestFit="1" customWidth="1"/>
    <col min="2" max="2" width="7.6640625" style="95" bestFit="1" customWidth="1"/>
    <col min="3" max="3" width="23" style="95" customWidth="1"/>
    <col min="4" max="4" width="21.88671875" style="95" bestFit="1" customWidth="1"/>
    <col min="5" max="5" width="18.44140625" style="95" customWidth="1"/>
    <col min="6" max="6" width="11.21875" style="95" bestFit="1" customWidth="1"/>
    <col min="7" max="7" width="28.88671875" style="95" bestFit="1" customWidth="1"/>
    <col min="8" max="8" width="17.77734375" style="95" bestFit="1" customWidth="1"/>
    <col min="9" max="9" width="14.21875" style="95" bestFit="1" customWidth="1"/>
    <col min="10" max="10" width="8.88671875" style="95"/>
    <col min="11" max="11" width="8.5546875" style="95" bestFit="1" customWidth="1"/>
    <col min="12" max="12" width="5.77734375" style="95" bestFit="1" customWidth="1"/>
    <col min="13" max="13" width="12.33203125" style="95" bestFit="1" customWidth="1"/>
    <col min="14" max="14" width="10.5546875" style="95" bestFit="1" customWidth="1"/>
    <col min="15" max="15" width="14.88671875" style="95" bestFit="1" customWidth="1"/>
    <col min="16" max="16" width="8.88671875" style="95"/>
    <col min="17" max="17" width="14.88671875" style="95" bestFit="1" customWidth="1"/>
    <col min="18" max="16384" width="8.88671875" style="95"/>
  </cols>
  <sheetData>
    <row r="1" spans="1:15" x14ac:dyDescent="0.25">
      <c r="A1" s="105" t="s">
        <v>90</v>
      </c>
      <c r="B1" s="106">
        <v>9.5000000000000001E-2</v>
      </c>
      <c r="C1" s="105"/>
      <c r="D1" s="105" t="s">
        <v>119</v>
      </c>
      <c r="E1" s="107">
        <f>1/B1</f>
        <v>10.526315789473685</v>
      </c>
      <c r="F1" s="105"/>
      <c r="G1" s="105"/>
      <c r="H1" s="105"/>
      <c r="I1" s="105"/>
    </row>
    <row r="2" spans="1:15" x14ac:dyDescent="0.25">
      <c r="A2" s="105"/>
      <c r="B2" s="105"/>
      <c r="C2" s="105"/>
      <c r="D2" s="105"/>
      <c r="E2" s="105"/>
      <c r="F2" s="105"/>
      <c r="G2" s="105"/>
      <c r="H2" s="105"/>
      <c r="I2" s="105"/>
    </row>
    <row r="3" spans="1:15" x14ac:dyDescent="0.25">
      <c r="A3" s="108"/>
      <c r="B3" s="108"/>
      <c r="C3" s="108"/>
      <c r="D3" s="108"/>
      <c r="E3" s="108"/>
      <c r="F3" s="105"/>
      <c r="G3" s="105"/>
      <c r="H3" s="105"/>
      <c r="I3" s="105"/>
      <c r="M3" s="96"/>
    </row>
    <row r="4" spans="1:15" ht="27.6" x14ac:dyDescent="0.25">
      <c r="A4" s="109" t="s">
        <v>91</v>
      </c>
      <c r="B4" s="109" t="s">
        <v>92</v>
      </c>
      <c r="C4" s="109" t="s">
        <v>93</v>
      </c>
      <c r="D4" s="110" t="s">
        <v>94</v>
      </c>
      <c r="E4" s="110" t="s">
        <v>120</v>
      </c>
      <c r="F4" s="109" t="s">
        <v>95</v>
      </c>
      <c r="G4" s="109" t="s">
        <v>96</v>
      </c>
      <c r="H4" s="111" t="s">
        <v>97</v>
      </c>
      <c r="I4" s="112" t="s">
        <v>98</v>
      </c>
    </row>
    <row r="5" spans="1:15" ht="27.6" x14ac:dyDescent="0.25">
      <c r="A5" s="111" t="s">
        <v>99</v>
      </c>
      <c r="B5" s="111">
        <v>422</v>
      </c>
      <c r="C5" s="111" t="s">
        <v>112</v>
      </c>
      <c r="D5" s="111" t="s">
        <v>121</v>
      </c>
      <c r="E5" s="113">
        <v>396</v>
      </c>
      <c r="F5" s="114">
        <f>[1]procena!E26</f>
        <v>9.8011111111111102</v>
      </c>
      <c r="G5" s="115">
        <f>E5*F5</f>
        <v>3881.24</v>
      </c>
      <c r="H5" s="115">
        <f>G5*12</f>
        <v>46574.879999999997</v>
      </c>
      <c r="I5" s="116">
        <f>H5-H9</f>
        <v>40525.879999999997</v>
      </c>
    </row>
    <row r="6" spans="1:15" ht="14.4" x14ac:dyDescent="0.3">
      <c r="A6" s="117"/>
      <c r="B6" s="117"/>
      <c r="C6" s="117"/>
      <c r="D6" s="117"/>
      <c r="E6" s="118"/>
      <c r="F6" s="119"/>
      <c r="G6" s="120" t="s">
        <v>100</v>
      </c>
      <c r="H6" s="120"/>
      <c r="I6" s="121"/>
    </row>
    <row r="7" spans="1:15" ht="14.4" x14ac:dyDescent="0.3">
      <c r="A7" s="117"/>
      <c r="B7" s="117"/>
      <c r="C7" s="117"/>
      <c r="D7" s="117"/>
      <c r="E7" s="118"/>
      <c r="F7" s="122"/>
      <c r="G7" s="115" t="s">
        <v>101</v>
      </c>
      <c r="H7" s="116">
        <f>F16</f>
        <v>1397</v>
      </c>
      <c r="I7" s="121"/>
    </row>
    <row r="8" spans="1:15" x14ac:dyDescent="0.25">
      <c r="A8" s="117"/>
      <c r="B8" s="117"/>
      <c r="C8" s="117"/>
      <c r="D8" s="117"/>
      <c r="E8" s="118"/>
      <c r="F8" s="122"/>
      <c r="G8" s="115" t="s">
        <v>102</v>
      </c>
      <c r="H8" s="123">
        <f>F17</f>
        <v>4652</v>
      </c>
      <c r="I8" s="115"/>
    </row>
    <row r="9" spans="1:15" ht="14.4" x14ac:dyDescent="0.3">
      <c r="A9" s="124"/>
      <c r="B9" s="124"/>
      <c r="C9" s="117"/>
      <c r="D9" s="117"/>
      <c r="E9" s="125"/>
      <c r="F9" s="126"/>
      <c r="G9" s="115" t="s">
        <v>103</v>
      </c>
      <c r="H9" s="127">
        <f>SUM(H7:H8)</f>
        <v>6049</v>
      </c>
      <c r="I9" s="128"/>
    </row>
    <row r="10" spans="1:15" ht="28.5" customHeight="1" x14ac:dyDescent="0.25">
      <c r="A10" s="129" t="s">
        <v>104</v>
      </c>
      <c r="B10" s="129"/>
      <c r="C10" s="129"/>
      <c r="D10" s="129"/>
      <c r="E10" s="130">
        <f>SUM(E5:E6)</f>
        <v>396</v>
      </c>
      <c r="F10" s="131"/>
      <c r="G10" s="132"/>
      <c r="H10" s="132"/>
      <c r="I10" s="133">
        <f>I5*E1</f>
        <v>426588.21052631579</v>
      </c>
    </row>
    <row r="11" spans="1:15" x14ac:dyDescent="0.25">
      <c r="A11" s="105"/>
      <c r="B11" s="105"/>
      <c r="C11" s="105"/>
      <c r="D11" s="105"/>
      <c r="E11" s="105"/>
      <c r="F11" s="105"/>
      <c r="G11" s="105"/>
      <c r="H11" s="105"/>
      <c r="I11" s="105"/>
    </row>
    <row r="12" spans="1:15" ht="27.75" customHeight="1" x14ac:dyDescent="0.25">
      <c r="A12" s="105"/>
      <c r="B12" s="105"/>
      <c r="C12" s="105"/>
      <c r="D12" s="105"/>
      <c r="E12" s="134"/>
      <c r="F12" s="105"/>
      <c r="G12" s="105" t="s">
        <v>105</v>
      </c>
      <c r="H12" s="105"/>
      <c r="I12" s="135">
        <f>I10/E10</f>
        <v>1077.2429558745348</v>
      </c>
      <c r="O12" s="97"/>
    </row>
    <row r="13" spans="1:15" ht="14.4" x14ac:dyDescent="0.3">
      <c r="A13" s="136"/>
      <c r="B13" s="136"/>
      <c r="C13" s="136"/>
      <c r="D13" s="136"/>
      <c r="E13" s="136"/>
      <c r="F13" s="136"/>
      <c r="G13" s="136"/>
      <c r="H13" s="136"/>
      <c r="I13" s="136"/>
      <c r="O13" s="98"/>
    </row>
    <row r="14" spans="1:15" ht="14.4" x14ac:dyDescent="0.3">
      <c r="A14" s="136"/>
      <c r="B14" s="136"/>
      <c r="C14" s="136"/>
      <c r="D14" s="136"/>
      <c r="E14" s="136"/>
      <c r="F14" s="136"/>
      <c r="G14" s="136"/>
      <c r="H14" s="136"/>
      <c r="I14" s="136"/>
    </row>
    <row r="15" spans="1:15" ht="14.4" x14ac:dyDescent="0.3">
      <c r="A15" s="136"/>
      <c r="B15" s="136"/>
      <c r="C15" s="103" t="s">
        <v>111</v>
      </c>
      <c r="D15" s="104" t="s">
        <v>106</v>
      </c>
      <c r="E15" s="104" t="s">
        <v>107</v>
      </c>
      <c r="F15" s="103" t="s">
        <v>100</v>
      </c>
      <c r="G15" s="136"/>
      <c r="H15" s="136"/>
      <c r="I15" s="136"/>
    </row>
    <row r="16" spans="1:15" ht="14.4" x14ac:dyDescent="0.3">
      <c r="A16" s="136"/>
      <c r="B16" s="136"/>
      <c r="C16" s="104" t="s">
        <v>108</v>
      </c>
      <c r="D16" s="137">
        <v>0.03</v>
      </c>
      <c r="E16" s="138">
        <v>40525</v>
      </c>
      <c r="F16" s="139">
        <v>1397</v>
      </c>
      <c r="G16" s="136"/>
      <c r="H16" s="136"/>
      <c r="I16" s="136"/>
    </row>
    <row r="17" spans="1:9" ht="14.4" x14ac:dyDescent="0.3">
      <c r="A17" s="136"/>
      <c r="B17" s="136"/>
      <c r="C17" s="104" t="s">
        <v>109</v>
      </c>
      <c r="D17" s="140">
        <v>4.0000000000000001E-3</v>
      </c>
      <c r="E17" s="123" t="s">
        <v>110</v>
      </c>
      <c r="F17" s="141">
        <v>4652</v>
      </c>
      <c r="G17" s="136"/>
      <c r="H17" s="136"/>
      <c r="I17" s="136"/>
    </row>
    <row r="18" spans="1:9" ht="14.4" x14ac:dyDescent="0.3">
      <c r="A18" s="136"/>
      <c r="B18" s="136"/>
      <c r="C18" s="136"/>
      <c r="D18" s="136"/>
      <c r="E18" s="136"/>
      <c r="F18" s="136"/>
      <c r="G18" s="136"/>
      <c r="H18" s="136"/>
      <c r="I18" s="136"/>
    </row>
    <row r="19" spans="1:9" ht="14.4" x14ac:dyDescent="0.3">
      <c r="A19" s="136"/>
      <c r="B19" s="136"/>
      <c r="C19" s="136"/>
      <c r="D19" s="136"/>
      <c r="E19" s="136"/>
      <c r="F19" s="136"/>
      <c r="G19" s="136"/>
      <c r="H19" s="136"/>
      <c r="I19" s="136"/>
    </row>
  </sheetData>
  <mergeCells count="3">
    <mergeCell ref="A3:E3"/>
    <mergeCell ref="G6:H6"/>
    <mergeCell ref="A10:D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B31EB-958B-4A2A-B7D5-E218C830974B}">
  <dimension ref="A1:K24"/>
  <sheetViews>
    <sheetView tabSelected="1" topLeftCell="A2" workbookViewId="0">
      <selection activeCell="L20" sqref="L20"/>
    </sheetView>
  </sheetViews>
  <sheetFormatPr defaultRowHeight="14.4" x14ac:dyDescent="0.3"/>
  <cols>
    <col min="4" max="4" width="23.33203125" customWidth="1"/>
  </cols>
  <sheetData>
    <row r="1" spans="1:11" ht="23.4" x14ac:dyDescent="0.45">
      <c r="A1" s="151" t="s">
        <v>136</v>
      </c>
    </row>
    <row r="2" spans="1:11" ht="23.4" x14ac:dyDescent="0.45">
      <c r="A2" s="151"/>
    </row>
    <row r="3" spans="1:11" x14ac:dyDescent="0.3">
      <c r="B3" s="152" t="s">
        <v>113</v>
      </c>
    </row>
    <row r="4" spans="1:11" x14ac:dyDescent="0.3">
      <c r="G4" s="100" t="s">
        <v>115</v>
      </c>
      <c r="H4" s="100"/>
      <c r="I4" s="100"/>
    </row>
    <row r="5" spans="1:11" x14ac:dyDescent="0.3">
      <c r="D5" s="99" t="s">
        <v>114</v>
      </c>
      <c r="F5" s="102" t="s">
        <v>116</v>
      </c>
      <c r="G5" s="101" t="s">
        <v>117</v>
      </c>
      <c r="H5" s="101"/>
      <c r="I5" s="101"/>
    </row>
    <row r="7" spans="1:11" x14ac:dyDescent="0.3">
      <c r="D7" s="142" t="s">
        <v>122</v>
      </c>
      <c r="E7" s="142"/>
      <c r="F7" s="102" t="s">
        <v>116</v>
      </c>
      <c r="G7" s="72" t="s">
        <v>123</v>
      </c>
    </row>
    <row r="9" spans="1:11" x14ac:dyDescent="0.3">
      <c r="B9" s="152" t="s">
        <v>118</v>
      </c>
    </row>
    <row r="11" spans="1:11" x14ac:dyDescent="0.3">
      <c r="D11" s="142" t="s">
        <v>9</v>
      </c>
    </row>
    <row r="12" spans="1:11" ht="43.2" x14ac:dyDescent="0.3">
      <c r="D12" s="143" t="s">
        <v>124</v>
      </c>
      <c r="E12" s="142"/>
      <c r="F12" s="142"/>
      <c r="G12" s="142"/>
      <c r="H12" s="142"/>
    </row>
    <row r="14" spans="1:11" x14ac:dyDescent="0.3">
      <c r="D14" s="153" t="s">
        <v>125</v>
      </c>
      <c r="E14" s="154"/>
      <c r="F14" s="154"/>
      <c r="G14" s="154"/>
      <c r="H14" s="154"/>
      <c r="I14" s="154"/>
      <c r="J14" s="154"/>
      <c r="K14" s="155"/>
    </row>
    <row r="16" spans="1:11" ht="16.2" x14ac:dyDescent="0.3">
      <c r="D16" s="147" t="s">
        <v>126</v>
      </c>
      <c r="E16" s="148" t="s">
        <v>116</v>
      </c>
      <c r="F16" s="147" t="s">
        <v>131</v>
      </c>
      <c r="G16" s="147"/>
      <c r="H16" s="149"/>
    </row>
    <row r="18" spans="4:10" ht="16.2" x14ac:dyDescent="0.3">
      <c r="D18" s="145" t="s">
        <v>127</v>
      </c>
      <c r="E18" s="146" t="s">
        <v>116</v>
      </c>
      <c r="F18" s="145" t="s">
        <v>130</v>
      </c>
      <c r="G18" s="145"/>
      <c r="H18" s="145"/>
      <c r="I18" s="145"/>
      <c r="J18" s="145"/>
    </row>
    <row r="20" spans="4:10" ht="16.2" x14ac:dyDescent="0.3">
      <c r="D20" s="71" t="s">
        <v>129</v>
      </c>
      <c r="E20" s="144" t="s">
        <v>116</v>
      </c>
      <c r="F20" s="71" t="s">
        <v>133</v>
      </c>
      <c r="G20" s="71"/>
      <c r="H20" s="71"/>
      <c r="I20" s="71"/>
      <c r="J20" s="71"/>
    </row>
    <row r="21" spans="4:10" x14ac:dyDescent="0.3">
      <c r="D21" s="71"/>
      <c r="E21" s="71"/>
      <c r="F21" s="71"/>
      <c r="G21" s="71"/>
      <c r="H21" s="71"/>
      <c r="I21" s="71"/>
      <c r="J21" s="71"/>
    </row>
    <row r="22" spans="4:10" ht="16.2" x14ac:dyDescent="0.3">
      <c r="D22" s="71" t="s">
        <v>128</v>
      </c>
      <c r="E22" s="71"/>
      <c r="F22" s="71"/>
      <c r="G22" s="144" t="s">
        <v>116</v>
      </c>
      <c r="H22" s="71" t="s">
        <v>132</v>
      </c>
      <c r="I22" s="71"/>
      <c r="J22" s="71"/>
    </row>
    <row r="24" spans="4:10" x14ac:dyDescent="0.3">
      <c r="D24" s="142" t="s">
        <v>134</v>
      </c>
      <c r="E24" s="150" t="s">
        <v>135</v>
      </c>
    </row>
  </sheetData>
  <mergeCells count="3">
    <mergeCell ref="G4:I4"/>
    <mergeCell ref="G5:I5"/>
    <mergeCell ref="D14:K14"/>
  </mergeCells>
  <hyperlinks>
    <hyperlink ref="E24" r:id="rId1" xr:uid="{09C72D3F-79B2-4624-B7A8-FE43E2C87BB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Komparativna matrica #4</vt:lpstr>
      <vt:lpstr>Pretpostavke za DNT</vt:lpstr>
      <vt:lpstr>SADAŠNJA VREDNOST DNT</vt:lpstr>
      <vt:lpstr>model DK</vt:lpstr>
      <vt:lpstr>Bitni elementi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Blue</dc:creator>
  <cp:lastModifiedBy>Tamara Dil</cp:lastModifiedBy>
  <cp:lastPrinted>2020-12-17T12:46:38Z</cp:lastPrinted>
  <dcterms:created xsi:type="dcterms:W3CDTF">2018-05-10T23:32:16Z</dcterms:created>
  <dcterms:modified xsi:type="dcterms:W3CDTF">2020-12-17T18:41:07Z</dcterms:modified>
</cp:coreProperties>
</file>